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360" windowHeight="10485" activeTab="0"/>
  </bookViews>
  <sheets>
    <sheet name="Forecasting Variables" sheetId="1" r:id="rId1"/>
    <sheet name="DCF" sheetId="2" r:id="rId2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<sst xmlns="http://schemas.openxmlformats.org/spreadsheetml/2006/main" count="46" uniqueCount="46">
  <si>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Depreciation and amortization</t>
  </si>
  <si>
    <t>Gross profit</t>
  </si>
  <si>
    <t>Selling, general and administrative expenses</t>
  </si>
  <si>
    <t>Earnings before interest, taxes, depr. &amp; amort. (EBITDA)</t>
  </si>
  <si>
    <t>Federal and State Income Taxes</t>
  </si>
  <si>
    <t>Net Operating Profit After-Tax (NOPAT)</t>
  </si>
  <si>
    <t>Free Cash Flow</t>
  </si>
  <si>
    <t>Add back depreciation and amortization</t>
  </si>
  <si>
    <t>Subtract Capital Expenditures</t>
  </si>
  <si>
    <t>Subtract New Net Working Capital</t>
  </si>
  <si>
    <t>Total revenue</t>
  </si>
  <si>
    <t>Earnings before Interest and taxes (EBIT)</t>
  </si>
  <si>
    <t>Capital expenditure growth factor</t>
  </si>
  <si>
    <t>Assumed long-term sustainable growth rate</t>
  </si>
  <si>
    <t>Discount rate</t>
  </si>
  <si>
    <t>Present Value of Free Cash Flows @ 20%</t>
  </si>
  <si>
    <t>Expected gross profit margin</t>
  </si>
  <si>
    <t>S, G, &amp; A expense % of revenue</t>
  </si>
  <si>
    <t>Depr. &amp; Amort. % of revenue</t>
  </si>
  <si>
    <t>Income tax rate</t>
  </si>
  <si>
    <t>Total Present Value of Company Operations</t>
  </si>
  <si>
    <t>Net working capital to sales ratio</t>
  </si>
  <si>
    <t xml:space="preserve">Actual </t>
  </si>
  <si>
    <t>Plus Current Assets</t>
  </si>
  <si>
    <t>Cost of Goods Sold</t>
  </si>
  <si>
    <t>Years Ending December 31</t>
  </si>
  <si>
    <t>Revenue growth factor</t>
  </si>
  <si>
    <t>The Discounted Free Cash Flow Model for a Complete Business</t>
  </si>
  <si>
    <t>Available tax-loss carryforwards</t>
  </si>
  <si>
    <t>Net taxable earnings</t>
  </si>
  <si>
    <t>|------------------------------------------------------------------------------------------ Forecast ----------------------------------------------------------------------------------------|</t>
  </si>
  <si>
    <t>Valuation Model Outputs:</t>
  </si>
  <si>
    <t>Net operating profit margin</t>
  </si>
  <si>
    <t>Gross profit margin</t>
  </si>
  <si>
    <t>Free cash flow ($ mil)</t>
  </si>
  <si>
    <t>Terminal value ($ mil)</t>
  </si>
  <si>
    <t>The Free Cash Flow Business Valuation Model</t>
  </si>
  <si>
    <t>Pie In the Sky Company</t>
  </si>
  <si>
    <t>PV of Company Operations ($ mil)</t>
  </si>
  <si>
    <t>Total Value of Company's Assets</t>
  </si>
  <si>
    <t>Total Value of Company Assets ($ mil)</t>
  </si>
  <si>
    <t>per year after</t>
  </si>
  <si>
    <t xml:space="preserve"> from company's Balance Sheet</t>
  </si>
  <si>
    <t>Terminal value</t>
  </si>
  <si>
    <t>Value Drivers: The Discounted Free Cash Flow Model for a Business</t>
  </si>
  <si>
    <t>Value Drivers (Forecasting Variables):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</si>
</sst>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\(&quot;$&quot;#,##0.0\)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8"/>
      <color indexed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9" fontId="0" fillId="0" borderId="0" xfId="21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5" fontId="1" fillId="0" borderId="2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37" fontId="1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quotePrefix="1">
      <alignment horizontal="right"/>
    </xf>
    <xf numFmtId="5" fontId="1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 quotePrefix="1">
      <alignment horizontal="right"/>
    </xf>
    <xf numFmtId="9" fontId="4" fillId="2" borderId="0" xfId="21" applyFont="1" applyFill="1" applyAlignment="1">
      <alignment/>
    </xf>
    <xf numFmtId="9" fontId="5" fillId="2" borderId="0" xfId="21" applyFont="1" applyFill="1" applyAlignment="1">
      <alignment/>
    </xf>
    <xf numFmtId="9" fontId="5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ill="1" applyAlignment="1" quotePrefix="1">
      <alignment horizontal="right"/>
    </xf>
    <xf numFmtId="9" fontId="0" fillId="2" borderId="0" xfId="21" applyFill="1" applyAlignment="1">
      <alignment/>
    </xf>
    <xf numFmtId="165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9" fillId="2" borderId="0" xfId="0" applyFont="1" applyFill="1" applyAlignment="1" quotePrefix="1">
      <alignment horizontal="left"/>
    </xf>
    <xf numFmtId="1" fontId="9" fillId="2" borderId="0" xfId="15" applyNumberFormat="1" applyFont="1" applyFill="1" applyAlignment="1">
      <alignment horizontal="left"/>
    </xf>
    <xf numFmtId="5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0" fillId="0" borderId="1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10" fillId="0" borderId="2" xfId="0" applyNumberFormat="1" applyFont="1" applyBorder="1" applyAlignment="1">
      <alignment/>
    </xf>
    <xf numFmtId="0" fontId="2" fillId="2" borderId="0" xfId="0" applyFont="1" applyFill="1" applyAlignment="1" quotePrefix="1">
      <alignment horizontal="center"/>
    </xf>
    <xf numFmtId="0" fontId="1" fillId="2" borderId="0" xfId="0" applyFont="1" applyFill="1" applyAlignment="1" quotePrefix="1">
      <alignment horizontal="center"/>
    </xf>
    <xf numFmtId="0" fontId="6" fillId="3" borderId="0" xfId="0" applyFont="1" applyFill="1" applyBorder="1" applyAlignment="1" quotePrefix="1">
      <alignment horizontal="center" vertic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38100</xdr:rowOff>
    </xdr:from>
    <xdr:to>
      <xdr:col>10</xdr:col>
      <xdr:colOff>228600</xdr:colOff>
      <xdr:row>5</xdr:row>
      <xdr:rowOff>66675</xdr:rowOff>
    </xdr:to>
    <xdr:sp fLocksText="0">
      <xdr:nvSpPr>
        <xdr:cNvPr id="1" name="Text 6"/>
        <xdr:cNvSpPr txBox="1">
          <a:spLocks noChangeArrowheads="1"/>
        </xdr:cNvSpPr>
      </xdr:nvSpPr>
      <xdr:spPr>
        <a:xfrm>
          <a:off x="219075" y="495300"/>
          <a:ext cx="61817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Instructions:  Change any of the forecasting variables shown in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below and observe the effect on the model's outputs in the section below.  To what variable is the business value conclusion most sensitive?  To what variable is it least sensitive?</a:t>
          </a:r>
        </a:p>
      </xdr:txBody>
    </xdr:sp>
    <xdr:clientData fLocksWithSheet="0"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34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2838450" y="5514975"/>
          <a:ext cx="5810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38525" y="5705475"/>
          <a:ext cx="7810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57421875" style="27" customWidth="1"/>
    <col min="2" max="2" width="5.00390625" style="27" customWidth="1"/>
    <col min="3" max="3" width="8.7109375" style="27" customWidth="1"/>
    <col min="4" max="7" width="5.7109375" style="27" customWidth="1"/>
    <col min="8" max="11" width="6.140625" style="27" customWidth="1"/>
    <col min="12" max="12" width="8.7109375" style="27" customWidth="1"/>
    <col min="13" max="16384" width="9.140625" style="27" customWidth="1"/>
  </cols>
  <sheetData>
    <row r="1" spans="1:12" ht="23.2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8" spans="1:12" ht="15.75">
      <c r="A8" s="53" t="s">
        <v>44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2.7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2.75">
      <c r="A10" s="54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2:3" ht="12.75">
      <c r="B11" s="30"/>
      <c r="C11" s="31"/>
    </row>
    <row r="12" spans="1:12" ht="12.75">
      <c r="A12" s="32" t="s">
        <v>45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2.75">
      <c r="A13" s="33"/>
      <c r="B13" s="34"/>
      <c r="C13" s="34">
        <v>2007</v>
      </c>
      <c r="D13" s="34">
        <f aca="true" t="shared" si="0" ref="D13:L13">C13+1</f>
        <v>2008</v>
      </c>
      <c r="E13" s="34">
        <f t="shared" si="0"/>
        <v>2009</v>
      </c>
      <c r="F13" s="34">
        <f t="shared" si="0"/>
        <v>2010</v>
      </c>
      <c r="G13" s="34">
        <f t="shared" si="0"/>
        <v>2011</v>
      </c>
      <c r="H13" s="34">
        <f t="shared" si="0"/>
        <v>2012</v>
      </c>
      <c r="I13" s="34">
        <f t="shared" si="0"/>
        <v>2013</v>
      </c>
      <c r="J13" s="34">
        <f t="shared" si="0"/>
        <v>2014</v>
      </c>
      <c r="K13" s="34">
        <f t="shared" si="0"/>
        <v>2015</v>
      </c>
      <c r="L13" s="34">
        <f t="shared" si="0"/>
        <v>2016</v>
      </c>
    </row>
    <row r="14" spans="1:12" ht="12.75">
      <c r="A14" s="35" t="s">
        <v>26</v>
      </c>
      <c r="B14" s="36"/>
      <c r="C14" s="37">
        <v>0.2</v>
      </c>
      <c r="D14" s="37">
        <v>0.3</v>
      </c>
      <c r="E14" s="37">
        <v>0.4</v>
      </c>
      <c r="F14" s="37">
        <v>0.5</v>
      </c>
      <c r="G14" s="37">
        <v>0.6</v>
      </c>
      <c r="H14" s="37">
        <v>0.5</v>
      </c>
      <c r="I14" s="37">
        <v>0.4</v>
      </c>
      <c r="J14" s="37">
        <v>0.3</v>
      </c>
      <c r="K14" s="37">
        <v>0.2</v>
      </c>
      <c r="L14" s="37">
        <v>0.1</v>
      </c>
    </row>
    <row r="15" spans="1:12" ht="12.75">
      <c r="A15" s="35" t="s">
        <v>16</v>
      </c>
      <c r="B15" s="36"/>
      <c r="C15" s="38">
        <v>0.5</v>
      </c>
      <c r="D15" s="38">
        <v>0.51</v>
      </c>
      <c r="E15" s="38">
        <v>0.52</v>
      </c>
      <c r="F15" s="38">
        <v>0.53</v>
      </c>
      <c r="G15" s="38">
        <v>0.54</v>
      </c>
      <c r="H15" s="38">
        <v>0.55</v>
      </c>
      <c r="I15" s="38">
        <v>0.56</v>
      </c>
      <c r="J15" s="38">
        <v>0.57</v>
      </c>
      <c r="K15" s="38">
        <v>0.58</v>
      </c>
      <c r="L15" s="38">
        <v>0.59</v>
      </c>
    </row>
    <row r="16" spans="1:12" ht="12.75">
      <c r="A16" s="35" t="s">
        <v>17</v>
      </c>
      <c r="B16" s="36"/>
      <c r="C16" s="38">
        <v>0.5</v>
      </c>
      <c r="D16" s="38">
        <v>0.4</v>
      </c>
      <c r="E16" s="38">
        <v>0.3</v>
      </c>
      <c r="F16" s="38">
        <v>0.29</v>
      </c>
      <c r="G16" s="38">
        <v>0.28</v>
      </c>
      <c r="H16" s="38">
        <v>0.27</v>
      </c>
      <c r="I16" s="38">
        <v>0.26</v>
      </c>
      <c r="J16" s="38">
        <v>0.25</v>
      </c>
      <c r="K16" s="38">
        <v>0.24</v>
      </c>
      <c r="L16" s="38">
        <v>0.23</v>
      </c>
    </row>
    <row r="17" spans="1:12" ht="12.75">
      <c r="A17" s="35" t="s">
        <v>18</v>
      </c>
      <c r="B17" s="36"/>
      <c r="C17" s="37">
        <v>0.1</v>
      </c>
      <c r="D17" s="37">
        <v>0.1</v>
      </c>
      <c r="E17" s="37">
        <v>0.1</v>
      </c>
      <c r="F17" s="37">
        <v>0.1</v>
      </c>
      <c r="G17" s="37">
        <v>0.1</v>
      </c>
      <c r="H17" s="37">
        <v>0.1</v>
      </c>
      <c r="I17" s="37">
        <v>0.1</v>
      </c>
      <c r="J17" s="37">
        <v>0.1</v>
      </c>
      <c r="K17" s="37">
        <v>0.1</v>
      </c>
      <c r="L17" s="37">
        <v>0.1</v>
      </c>
    </row>
    <row r="18" spans="1:12" ht="12.75">
      <c r="A18" s="35" t="s">
        <v>12</v>
      </c>
      <c r="B18" s="36"/>
      <c r="C18" s="37">
        <v>0.4</v>
      </c>
      <c r="D18" s="37">
        <v>0.35</v>
      </c>
      <c r="E18" s="37">
        <v>0.3</v>
      </c>
      <c r="F18" s="37">
        <v>0.25</v>
      </c>
      <c r="G18" s="37">
        <v>0.2</v>
      </c>
      <c r="H18" s="37">
        <v>-0.1</v>
      </c>
      <c r="I18" s="37">
        <v>-0.15</v>
      </c>
      <c r="J18" s="37">
        <v>-0.2</v>
      </c>
      <c r="K18" s="37">
        <v>-0.25</v>
      </c>
      <c r="L18" s="37">
        <v>-0.3</v>
      </c>
    </row>
    <row r="19" spans="1:12" ht="12.75">
      <c r="A19" s="35" t="s">
        <v>21</v>
      </c>
      <c r="B19" s="36"/>
      <c r="C19" s="37">
        <v>0.19</v>
      </c>
      <c r="D19" s="37">
        <v>0.18</v>
      </c>
      <c r="E19" s="37">
        <v>0.17</v>
      </c>
      <c r="F19" s="37">
        <v>0.16</v>
      </c>
      <c r="G19" s="37">
        <v>0.15</v>
      </c>
      <c r="H19" s="37">
        <v>0.14</v>
      </c>
      <c r="I19" s="37">
        <v>0.13</v>
      </c>
      <c r="J19" s="37">
        <v>0.12</v>
      </c>
      <c r="K19" s="37">
        <v>0.11</v>
      </c>
      <c r="L19" s="37">
        <v>0.1</v>
      </c>
    </row>
    <row r="20" spans="1:12" ht="12.75">
      <c r="A20" s="35"/>
      <c r="B20" s="33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2.75">
      <c r="A21" s="35" t="s">
        <v>19</v>
      </c>
      <c r="B21" s="37">
        <v>0.4</v>
      </c>
      <c r="C21" s="36"/>
      <c r="D21" s="36"/>
      <c r="E21" s="36"/>
      <c r="F21" s="36">
        <v>0.4</v>
      </c>
      <c r="G21" s="36"/>
      <c r="H21" s="36"/>
      <c r="I21" s="36"/>
      <c r="J21" s="36"/>
      <c r="K21" s="36"/>
      <c r="L21" s="36"/>
    </row>
    <row r="22" spans="1:12" ht="12.75">
      <c r="A22" s="35" t="s">
        <v>13</v>
      </c>
      <c r="B22" s="37">
        <v>0.05</v>
      </c>
      <c r="C22" s="45" t="s">
        <v>41</v>
      </c>
      <c r="D22" s="36"/>
      <c r="E22" s="46">
        <f>K13</f>
        <v>2015</v>
      </c>
      <c r="F22" s="36">
        <v>0.05</v>
      </c>
      <c r="G22" s="36"/>
      <c r="H22" s="36"/>
      <c r="I22" s="36"/>
      <c r="J22" s="36"/>
      <c r="K22" s="36"/>
      <c r="L22" s="36"/>
    </row>
    <row r="23" spans="1:12" ht="12.75">
      <c r="A23" s="35" t="s">
        <v>14</v>
      </c>
      <c r="B23" s="37">
        <v>0.2</v>
      </c>
      <c r="C23" s="33"/>
      <c r="D23" s="36"/>
      <c r="E23" s="36"/>
      <c r="F23" s="36">
        <v>0.2</v>
      </c>
      <c r="G23" s="36"/>
      <c r="H23" s="36"/>
      <c r="I23" s="36"/>
      <c r="J23" s="36"/>
      <c r="K23" s="36"/>
      <c r="L23" s="36"/>
    </row>
    <row r="24" spans="1:12" ht="12.75">
      <c r="A24" s="35"/>
      <c r="B24" s="36"/>
      <c r="C24" s="33"/>
      <c r="D24" s="36"/>
      <c r="E24" s="36"/>
      <c r="F24" s="36"/>
      <c r="G24" s="36"/>
      <c r="H24" s="36"/>
      <c r="I24" s="36"/>
      <c r="J24" s="36"/>
      <c r="K24" s="36"/>
      <c r="L24" s="36"/>
    </row>
    <row r="25" spans="3:12" ht="12.75">
      <c r="C25" s="27">
        <f>C13</f>
        <v>2007</v>
      </c>
      <c r="D25" s="27">
        <f aca="true" t="shared" si="1" ref="D25:K25">D13</f>
        <v>2008</v>
      </c>
      <c r="E25" s="27">
        <f t="shared" si="1"/>
        <v>2009</v>
      </c>
      <c r="F25" s="27">
        <f t="shared" si="1"/>
        <v>2010</v>
      </c>
      <c r="G25" s="27">
        <f t="shared" si="1"/>
        <v>2011</v>
      </c>
      <c r="H25" s="27">
        <f t="shared" si="1"/>
        <v>2012</v>
      </c>
      <c r="I25" s="27">
        <f t="shared" si="1"/>
        <v>2013</v>
      </c>
      <c r="J25" s="27">
        <f t="shared" si="1"/>
        <v>2014</v>
      </c>
      <c r="K25" s="27">
        <f t="shared" si="1"/>
        <v>2015</v>
      </c>
      <c r="L25" s="27">
        <f>L13</f>
        <v>2016</v>
      </c>
    </row>
    <row r="26" ht="12.75">
      <c r="A26" s="39" t="s">
        <v>31</v>
      </c>
    </row>
    <row r="27" spans="1:12" ht="12.75">
      <c r="A27" s="40" t="s">
        <v>33</v>
      </c>
      <c r="C27" s="41">
        <f>DCF!C11/DCF!C8</f>
        <v>0.5</v>
      </c>
      <c r="D27" s="41">
        <f>DCF!D11/DCF!D8</f>
        <v>0.51</v>
      </c>
      <c r="E27" s="41">
        <f>DCF!E11/DCF!E8</f>
        <v>0.52</v>
      </c>
      <c r="F27" s="41">
        <f>DCF!F11/DCF!F8</f>
        <v>0.53</v>
      </c>
      <c r="G27" s="41">
        <f>DCF!G11/DCF!G8</f>
        <v>0.5399999636606779</v>
      </c>
      <c r="H27" s="41">
        <f>DCF!H11/DCF!H8</f>
        <v>0.55</v>
      </c>
      <c r="I27" s="41">
        <f>DCF!I11/DCF!I8</f>
        <v>0.5599999844260048</v>
      </c>
      <c r="J27" s="41">
        <f>DCF!J11/DCF!J8</f>
        <v>0.5699999968053343</v>
      </c>
      <c r="K27" s="41">
        <f>DCF!K11/DCF!K8</f>
        <v>0.579999993655039</v>
      </c>
      <c r="L27" s="41">
        <f>DCF!L11/DCF!L8</f>
        <v>0.5900000056310016</v>
      </c>
    </row>
    <row r="28" spans="1:12" ht="12.75">
      <c r="A28" s="40" t="s">
        <v>32</v>
      </c>
      <c r="C28" s="41">
        <f>DCF!C22/DCF!C8</f>
        <v>-0.1</v>
      </c>
      <c r="D28" s="41">
        <f>DCF!D22/DCF!D8</f>
        <v>0.01</v>
      </c>
      <c r="E28" s="41">
        <f>DCF!E22/DCF!E8</f>
        <v>0.12</v>
      </c>
      <c r="F28" s="41">
        <f>DCF!F22/DCF!F8</f>
        <v>0.09091156462585033</v>
      </c>
      <c r="G28" s="41">
        <f>DCF!G22/DCF!G8</f>
        <v>0.09599996729461015</v>
      </c>
      <c r="H28" s="41">
        <f>DCF!H22/DCF!H8</f>
        <v>0.10799999273213559</v>
      </c>
      <c r="I28" s="41">
        <f>DCF!I22/DCF!I8</f>
        <v>0.11999996885200967</v>
      </c>
      <c r="J28" s="41">
        <f>DCF!J22/DCF!J8</f>
        <v>0.13200000766719763</v>
      </c>
      <c r="K28" s="41">
        <f>DCF!K22/DCF!K8</f>
        <v>0.143999993903513</v>
      </c>
      <c r="L28" s="41">
        <f>DCF!L22/DCF!L8</f>
        <v>0.15600000978729392</v>
      </c>
    </row>
    <row r="29" spans="1:12" ht="12.75">
      <c r="A29" s="40" t="s">
        <v>34</v>
      </c>
      <c r="C29" s="42">
        <f>DCF!C27/1000000</f>
        <v>-1.3202</v>
      </c>
      <c r="D29" s="42">
        <f>DCF!D27/1000000</f>
        <v>-1.3935600000000001</v>
      </c>
      <c r="E29" s="42">
        <f>DCF!E27/1000000</f>
        <v>-1.2252240000000005</v>
      </c>
      <c r="F29" s="42">
        <f>DCF!F27/1000000</f>
        <v>-1.3909428000000006</v>
      </c>
      <c r="G29" s="42">
        <f>DCF!G27/1000000</f>
        <v>-0.9088938000000003</v>
      </c>
      <c r="H29" s="42">
        <f>DCF!H27/1000000</f>
        <v>0.8878613999999998</v>
      </c>
      <c r="I29" s="42">
        <f>DCF!I27/1000000</f>
        <v>3.1245665799999998</v>
      </c>
      <c r="J29" s="42">
        <f>DCF!J27/1000000</f>
        <v>5.548251896000001</v>
      </c>
      <c r="K29" s="42">
        <f>DCF!K27/1000000</f>
        <v>7.7681243576</v>
      </c>
      <c r="L29" s="42">
        <f>DCF!L27/1000000</f>
        <v>9.330977</v>
      </c>
    </row>
    <row r="30" spans="1:12" ht="12.75">
      <c r="A30" s="40" t="s">
        <v>35</v>
      </c>
      <c r="L30" s="42">
        <f>DCF!L29/1000000</f>
        <v>65.316839</v>
      </c>
    </row>
    <row r="31" spans="1:12" ht="12.75">
      <c r="A31" s="40"/>
      <c r="L31" s="42"/>
    </row>
    <row r="32" spans="1:3" ht="12.75">
      <c r="A32" s="30" t="s">
        <v>38</v>
      </c>
      <c r="B32" s="34"/>
      <c r="C32" s="43">
        <f>DCF!B33/1000000</f>
        <v>4.90622</v>
      </c>
    </row>
    <row r="33" spans="1:3" ht="12.75">
      <c r="A33" s="30"/>
      <c r="B33" s="34"/>
      <c r="C33" s="43"/>
    </row>
    <row r="34" spans="1:3" ht="12.75">
      <c r="A34" s="30" t="s">
        <v>40</v>
      </c>
      <c r="B34" s="34"/>
      <c r="C34" s="44">
        <f>DCF!B36/1000000</f>
        <v>5.40622</v>
      </c>
    </row>
  </sheetData>
  <mergeCells count="3">
    <mergeCell ref="A8:L8"/>
    <mergeCell ref="A10:L10"/>
    <mergeCell ref="A1:L1"/>
  </mergeCells>
  <printOptions/>
  <pageMargins left="1.64" right="0.27" top="1.54" bottom="0.23" header="0.27" footer="0.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workbookViewId="0" topLeftCell="A19">
      <selection activeCell="A5" sqref="A5"/>
    </sheetView>
  </sheetViews>
  <sheetFormatPr defaultColWidth="9.140625" defaultRowHeight="12.75"/>
  <cols>
    <col min="1" max="1" width="51.57421875" style="0" customWidth="1"/>
    <col min="2" max="2" width="11.7109375" style="0" customWidth="1"/>
    <col min="3" max="6" width="11.28125" style="0" customWidth="1"/>
    <col min="7" max="11" width="11.7109375" style="0" bestFit="1" customWidth="1"/>
    <col min="12" max="12" width="14.421875" style="0" customWidth="1"/>
  </cols>
  <sheetData>
    <row r="1" spans="1:12" ht="15.75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56" t="str">
        <f>'Forecasting Variables'!A10:L10</f>
        <v>Pie In the Sky Company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12.75">
      <c r="B4" s="56" t="s">
        <v>25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ht="12.75">
      <c r="B5" s="12" t="s">
        <v>22</v>
      </c>
      <c r="C5" s="56" t="s">
        <v>30</v>
      </c>
      <c r="D5" s="57"/>
      <c r="E5" s="57"/>
      <c r="F5" s="57"/>
      <c r="G5" s="57"/>
      <c r="H5" s="57"/>
      <c r="I5" s="57"/>
      <c r="J5" s="57"/>
      <c r="K5" s="57"/>
      <c r="L5" s="57"/>
    </row>
    <row r="6" spans="2:35" ht="12.75">
      <c r="B6" s="2">
        <v>2006</v>
      </c>
      <c r="C6" s="2">
        <f>B6+1</f>
        <v>2007</v>
      </c>
      <c r="D6" s="2">
        <f aca="true" t="shared" si="0" ref="D6:L6">C6+1</f>
        <v>2008</v>
      </c>
      <c r="E6" s="2">
        <f t="shared" si="0"/>
        <v>2009</v>
      </c>
      <c r="F6" s="2">
        <f t="shared" si="0"/>
        <v>2010</v>
      </c>
      <c r="G6" s="2">
        <f t="shared" si="0"/>
        <v>2011</v>
      </c>
      <c r="H6" s="2">
        <f t="shared" si="0"/>
        <v>2012</v>
      </c>
      <c r="I6" s="2">
        <f t="shared" si="0"/>
        <v>2013</v>
      </c>
      <c r="J6" s="2">
        <f t="shared" si="0"/>
        <v>2014</v>
      </c>
      <c r="K6" s="2">
        <f t="shared" si="0"/>
        <v>2015</v>
      </c>
      <c r="L6" s="2">
        <f t="shared" si="0"/>
        <v>2016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8" spans="1:12" ht="12.75">
      <c r="A8" s="9" t="s">
        <v>10</v>
      </c>
      <c r="B8" s="47">
        <v>2100000</v>
      </c>
      <c r="C8" s="23">
        <f>B8*(1+'Forecasting Variables'!C14)</f>
        <v>2520000</v>
      </c>
      <c r="D8" s="23">
        <f>C8*(1+'Forecasting Variables'!D14)</f>
        <v>3276000</v>
      </c>
      <c r="E8" s="23">
        <f>D8*(1+'Forecasting Variables'!E14)</f>
        <v>4586400</v>
      </c>
      <c r="F8" s="23">
        <f>E8*(1+'Forecasting Variables'!F14)</f>
        <v>6879600</v>
      </c>
      <c r="G8" s="23">
        <f>F8*(1+'Forecasting Variables'!G14)</f>
        <v>11007360</v>
      </c>
      <c r="H8" s="23">
        <f>G8*(1+'Forecasting Variables'!H14)</f>
        <v>16511040</v>
      </c>
      <c r="I8" s="23">
        <f>H8*(1+'Forecasting Variables'!I14)</f>
        <v>23115456</v>
      </c>
      <c r="J8" s="23">
        <f>I8*(1+'Forecasting Variables'!J14)</f>
        <v>30050092.8</v>
      </c>
      <c r="K8" s="23">
        <f>J8*(1+'Forecasting Variables'!K14)</f>
        <v>36060111.36</v>
      </c>
      <c r="L8" s="23">
        <f>K8*(1+'Forecasting Variables'!L14)</f>
        <v>39666122.496</v>
      </c>
    </row>
    <row r="9" spans="1:12" ht="12.7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t="s">
        <v>24</v>
      </c>
      <c r="B10" s="3">
        <f>B8-B11</f>
        <v>1300000</v>
      </c>
      <c r="C10" s="24">
        <f>ROUND((C8*(1-'Forecasting Variables'!C15)),0)</f>
        <v>1260000</v>
      </c>
      <c r="D10" s="24">
        <f>ROUND((D8*(1-'Forecasting Variables'!D15)),0)</f>
        <v>1605240</v>
      </c>
      <c r="E10" s="24">
        <f>ROUND((E8*(1-'Forecasting Variables'!E15)),0)</f>
        <v>2201472</v>
      </c>
      <c r="F10" s="24">
        <f>ROUND((F8*(1-'Forecasting Variables'!F15)),0)</f>
        <v>3233412</v>
      </c>
      <c r="G10" s="24">
        <f>ROUND((G8*(1-'Forecasting Variables'!G15)),0)</f>
        <v>5063386</v>
      </c>
      <c r="H10" s="24">
        <f>ROUND((H8*(1-'Forecasting Variables'!H15)),0)</f>
        <v>7429968</v>
      </c>
      <c r="I10" s="24">
        <f>ROUND((I8*(1-'Forecasting Variables'!I15)),0)</f>
        <v>10170801</v>
      </c>
      <c r="J10" s="24">
        <f>ROUND((J8*(1-'Forecasting Variables'!J15)),0)</f>
        <v>12921540</v>
      </c>
      <c r="K10" s="24">
        <f>ROUND((K8*(1-'Forecasting Variables'!K15)),0)</f>
        <v>15145247</v>
      </c>
      <c r="L10" s="24">
        <f>ROUND((L8*(1-'Forecasting Variables'!L15)),0)</f>
        <v>16263110</v>
      </c>
    </row>
    <row r="11" spans="1:12" ht="12.75">
      <c r="A11" s="2" t="s">
        <v>1</v>
      </c>
      <c r="B11" s="48">
        <v>800000</v>
      </c>
      <c r="C11" s="25">
        <f aca="true" t="shared" si="1" ref="C11:L11">C8-C10</f>
        <v>1260000</v>
      </c>
      <c r="D11" s="25">
        <f t="shared" si="1"/>
        <v>1670760</v>
      </c>
      <c r="E11" s="25">
        <f t="shared" si="1"/>
        <v>2384928</v>
      </c>
      <c r="F11" s="25">
        <f t="shared" si="1"/>
        <v>3646188</v>
      </c>
      <c r="G11" s="25">
        <f t="shared" si="1"/>
        <v>5943974</v>
      </c>
      <c r="H11" s="25">
        <f t="shared" si="1"/>
        <v>9081072</v>
      </c>
      <c r="I11" s="25">
        <f t="shared" si="1"/>
        <v>12944655</v>
      </c>
      <c r="J11" s="25">
        <f t="shared" si="1"/>
        <v>17128552.8</v>
      </c>
      <c r="K11" s="25">
        <f t="shared" si="1"/>
        <v>20914864.36</v>
      </c>
      <c r="L11" s="25">
        <f t="shared" si="1"/>
        <v>23403012.496</v>
      </c>
    </row>
    <row r="13" spans="1:12" ht="12.75">
      <c r="A13" s="1" t="s">
        <v>2</v>
      </c>
      <c r="B13" s="49">
        <f>B8*'Forecasting Variables'!C16</f>
        <v>1050000</v>
      </c>
      <c r="C13" s="24">
        <f>ROUND((C8*'Forecasting Variables'!C16),0)</f>
        <v>1260000</v>
      </c>
      <c r="D13" s="24">
        <f>ROUND((D8*'Forecasting Variables'!D16),0)</f>
        <v>1310400</v>
      </c>
      <c r="E13" s="24">
        <f>ROUND((E8*'Forecasting Variables'!E16),0)</f>
        <v>1375920</v>
      </c>
      <c r="F13" s="24">
        <f>ROUND((F8*'Forecasting Variables'!F16),0)</f>
        <v>1995084</v>
      </c>
      <c r="G13" s="24">
        <f>ROUND((G8*'Forecasting Variables'!G16),0)</f>
        <v>3082061</v>
      </c>
      <c r="H13" s="24">
        <f>ROUND((H8*'Forecasting Variables'!H16),0)</f>
        <v>4457981</v>
      </c>
      <c r="I13" s="24">
        <f>ROUND((I8*'Forecasting Variables'!I16),0)</f>
        <v>6010019</v>
      </c>
      <c r="J13" s="24">
        <f>ROUND((J8*'Forecasting Variables'!J16),0)</f>
        <v>7512523</v>
      </c>
      <c r="K13" s="24">
        <f>ROUND((K8*'Forecasting Variables'!K16),0)</f>
        <v>8654427</v>
      </c>
      <c r="L13" s="24">
        <f>ROUND((L8*'Forecasting Variables'!L16),0)</f>
        <v>9123208</v>
      </c>
    </row>
    <row r="14" spans="1:12" ht="12.75">
      <c r="A14" s="2" t="s">
        <v>3</v>
      </c>
      <c r="B14" s="4">
        <f aca="true" t="shared" si="2" ref="B14:L14">B11-B13</f>
        <v>-250000</v>
      </c>
      <c r="C14" s="25">
        <f t="shared" si="2"/>
        <v>0</v>
      </c>
      <c r="D14" s="25">
        <f t="shared" si="2"/>
        <v>360360</v>
      </c>
      <c r="E14" s="25">
        <f t="shared" si="2"/>
        <v>1009008</v>
      </c>
      <c r="F14" s="25">
        <f t="shared" si="2"/>
        <v>1651104</v>
      </c>
      <c r="G14" s="25">
        <f t="shared" si="2"/>
        <v>2861913</v>
      </c>
      <c r="H14" s="25">
        <f t="shared" si="2"/>
        <v>4623091</v>
      </c>
      <c r="I14" s="25">
        <f t="shared" si="2"/>
        <v>6934636</v>
      </c>
      <c r="J14" s="25">
        <f t="shared" si="2"/>
        <v>9616029.8</v>
      </c>
      <c r="K14" s="25">
        <f t="shared" si="2"/>
        <v>12260437.36</v>
      </c>
      <c r="L14" s="25">
        <f t="shared" si="2"/>
        <v>14279804.496</v>
      </c>
    </row>
    <row r="15" spans="2:12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t="s">
        <v>0</v>
      </c>
      <c r="B16" s="49">
        <v>200000</v>
      </c>
      <c r="C16" s="24">
        <f>ROUND((C8*'Forecasting Variables'!C17),0)</f>
        <v>252000</v>
      </c>
      <c r="D16" s="24">
        <f>ROUND((D8*'Forecasting Variables'!D17),0)</f>
        <v>327600</v>
      </c>
      <c r="E16" s="24">
        <f>ROUND((E8*'Forecasting Variables'!E17),0)</f>
        <v>458640</v>
      </c>
      <c r="F16" s="24">
        <f>ROUND((F8*'Forecasting Variables'!F17),0)</f>
        <v>687960</v>
      </c>
      <c r="G16" s="24">
        <f>ROUND((G8*'Forecasting Variables'!G17),0)</f>
        <v>1100736</v>
      </c>
      <c r="H16" s="24">
        <f>ROUND((H8*'Forecasting Variables'!H17),0)</f>
        <v>1651104</v>
      </c>
      <c r="I16" s="24">
        <f>ROUND((I8*'Forecasting Variables'!I17),0)</f>
        <v>2311546</v>
      </c>
      <c r="J16" s="24">
        <f>ROUND((J8*'Forecasting Variables'!J17),0)</f>
        <v>3005009</v>
      </c>
      <c r="K16" s="24">
        <f>ROUND((K8*'Forecasting Variables'!K17),0)</f>
        <v>3606011</v>
      </c>
      <c r="L16" s="24">
        <f>ROUND((L8*'Forecasting Variables'!L17),0)</f>
        <v>3966612</v>
      </c>
    </row>
    <row r="17" spans="1:12" ht="12.75">
      <c r="A17" s="15" t="s">
        <v>11</v>
      </c>
      <c r="B17" s="8">
        <f aca="true" t="shared" si="3" ref="B17:L17">B14-B16</f>
        <v>-450000</v>
      </c>
      <c r="C17" s="25">
        <f t="shared" si="3"/>
        <v>-252000</v>
      </c>
      <c r="D17" s="25">
        <f t="shared" si="3"/>
        <v>32760</v>
      </c>
      <c r="E17" s="25">
        <f t="shared" si="3"/>
        <v>550368</v>
      </c>
      <c r="F17" s="25">
        <f t="shared" si="3"/>
        <v>963144</v>
      </c>
      <c r="G17" s="25">
        <f t="shared" si="3"/>
        <v>1761177</v>
      </c>
      <c r="H17" s="25">
        <f t="shared" si="3"/>
        <v>2971987</v>
      </c>
      <c r="I17" s="25">
        <f t="shared" si="3"/>
        <v>4623090</v>
      </c>
      <c r="J17" s="25">
        <f t="shared" si="3"/>
        <v>6611020.800000001</v>
      </c>
      <c r="K17" s="25">
        <f t="shared" si="3"/>
        <v>8654426.36</v>
      </c>
      <c r="L17" s="25">
        <f t="shared" si="3"/>
        <v>10313192.496</v>
      </c>
    </row>
    <row r="18" spans="1:23" ht="12.75">
      <c r="A18" s="21" t="s">
        <v>28</v>
      </c>
      <c r="B18" s="50">
        <v>0</v>
      </c>
      <c r="C18" s="26">
        <f>IF(B18+B17&lt;0,B18+B17,0)</f>
        <v>-450000</v>
      </c>
      <c r="D18" s="26">
        <f aca="true" t="shared" si="4" ref="D18:L18">IF(C18+C17&lt;0,C18+C17,0)</f>
        <v>-702000</v>
      </c>
      <c r="E18" s="26">
        <f t="shared" si="4"/>
        <v>-669240</v>
      </c>
      <c r="F18" s="26">
        <f t="shared" si="4"/>
        <v>-118872</v>
      </c>
      <c r="G18" s="26">
        <f t="shared" si="4"/>
        <v>0</v>
      </c>
      <c r="H18" s="26">
        <f t="shared" si="4"/>
        <v>0</v>
      </c>
      <c r="I18" s="26">
        <f t="shared" si="4"/>
        <v>0</v>
      </c>
      <c r="J18" s="26">
        <f t="shared" si="4"/>
        <v>0</v>
      </c>
      <c r="K18" s="26">
        <f t="shared" si="4"/>
        <v>0</v>
      </c>
      <c r="L18" s="26">
        <f t="shared" si="4"/>
        <v>0</v>
      </c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2.75">
      <c r="A19" s="21" t="s">
        <v>29</v>
      </c>
      <c r="B19" s="19">
        <f>IF(SUM(B17:B18)&lt;0,0,SUM(B17:B18))</f>
        <v>0</v>
      </c>
      <c r="C19" s="26">
        <f aca="true" t="shared" si="5" ref="C19:L19">IF(SUM(C17:C18)&lt;0,0,SUM(C17:C18))</f>
        <v>0</v>
      </c>
      <c r="D19" s="26">
        <f t="shared" si="5"/>
        <v>0</v>
      </c>
      <c r="E19" s="26">
        <f t="shared" si="5"/>
        <v>0</v>
      </c>
      <c r="F19" s="26">
        <f t="shared" si="5"/>
        <v>844272</v>
      </c>
      <c r="G19" s="26">
        <f t="shared" si="5"/>
        <v>1761177</v>
      </c>
      <c r="H19" s="26">
        <f t="shared" si="5"/>
        <v>2971987</v>
      </c>
      <c r="I19" s="26">
        <f t="shared" si="5"/>
        <v>4623090</v>
      </c>
      <c r="J19" s="26">
        <f t="shared" si="5"/>
        <v>6611020.800000001</v>
      </c>
      <c r="K19" s="26">
        <f t="shared" si="5"/>
        <v>8654426.36</v>
      </c>
      <c r="L19" s="26">
        <f t="shared" si="5"/>
        <v>10313192.496</v>
      </c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2.75">
      <c r="A20" s="21"/>
      <c r="B20" s="1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12" ht="12.75">
      <c r="A21" t="s">
        <v>4</v>
      </c>
      <c r="B21" s="3">
        <f>B19*'Forecasting Variables'!$B$21</f>
        <v>0</v>
      </c>
      <c r="C21" s="24">
        <f>C19*'Forecasting Variables'!$B$21</f>
        <v>0</v>
      </c>
      <c r="D21" s="24">
        <f>D19*'Forecasting Variables'!$B$21</f>
        <v>0</v>
      </c>
      <c r="E21" s="24">
        <f>E19*'Forecasting Variables'!$B$21</f>
        <v>0</v>
      </c>
      <c r="F21" s="24">
        <f>F19*'Forecasting Variables'!$B$21</f>
        <v>337708.80000000005</v>
      </c>
      <c r="G21" s="24">
        <f>G19*'Forecasting Variables'!$B$21</f>
        <v>704470.8</v>
      </c>
      <c r="H21" s="24">
        <f>H19*'Forecasting Variables'!$B$21</f>
        <v>1188794.8</v>
      </c>
      <c r="I21" s="24">
        <f>I19*'Forecasting Variables'!$B$21</f>
        <v>1849236</v>
      </c>
      <c r="J21" s="24">
        <f>J19*'Forecasting Variables'!$B$21</f>
        <v>2644408.3200000003</v>
      </c>
      <c r="K21" s="24">
        <f>K19*'Forecasting Variables'!$B$21</f>
        <v>3461770.5439999998</v>
      </c>
      <c r="L21" s="24">
        <f>L19*'Forecasting Variables'!$B$21</f>
        <v>4125276.9984</v>
      </c>
    </row>
    <row r="22" spans="1:12" ht="12.75">
      <c r="A22" s="2" t="s">
        <v>5</v>
      </c>
      <c r="B22" s="4">
        <f aca="true" t="shared" si="6" ref="B22:L22">B17-B21</f>
        <v>-450000</v>
      </c>
      <c r="C22" s="25">
        <f t="shared" si="6"/>
        <v>-252000</v>
      </c>
      <c r="D22" s="25">
        <f t="shared" si="6"/>
        <v>32760</v>
      </c>
      <c r="E22" s="25">
        <f t="shared" si="6"/>
        <v>550368</v>
      </c>
      <c r="F22" s="25">
        <f t="shared" si="6"/>
        <v>625435.2</v>
      </c>
      <c r="G22" s="25">
        <f t="shared" si="6"/>
        <v>1056706.2</v>
      </c>
      <c r="H22" s="25">
        <f t="shared" si="6"/>
        <v>1783192.2</v>
      </c>
      <c r="I22" s="25">
        <f t="shared" si="6"/>
        <v>2773854</v>
      </c>
      <c r="J22" s="25">
        <f t="shared" si="6"/>
        <v>3966612.4800000004</v>
      </c>
      <c r="K22" s="25">
        <f t="shared" si="6"/>
        <v>5192655.816</v>
      </c>
      <c r="L22" s="25">
        <f t="shared" si="6"/>
        <v>6187915.497599999</v>
      </c>
    </row>
    <row r="24" spans="1:12" ht="12.75">
      <c r="A24" t="s">
        <v>7</v>
      </c>
      <c r="B24" s="5">
        <f aca="true" t="shared" si="7" ref="B24:L24">B16</f>
        <v>200000</v>
      </c>
      <c r="C24" s="24">
        <f t="shared" si="7"/>
        <v>252000</v>
      </c>
      <c r="D24" s="24">
        <f t="shared" si="7"/>
        <v>327600</v>
      </c>
      <c r="E24" s="24">
        <f t="shared" si="7"/>
        <v>458640</v>
      </c>
      <c r="F24" s="24">
        <f t="shared" si="7"/>
        <v>687960</v>
      </c>
      <c r="G24" s="24">
        <f t="shared" si="7"/>
        <v>1100736</v>
      </c>
      <c r="H24" s="24">
        <f t="shared" si="7"/>
        <v>1651104</v>
      </c>
      <c r="I24" s="24">
        <f t="shared" si="7"/>
        <v>2311546</v>
      </c>
      <c r="J24" s="24">
        <f t="shared" si="7"/>
        <v>3005009</v>
      </c>
      <c r="K24" s="24">
        <f t="shared" si="7"/>
        <v>3606011</v>
      </c>
      <c r="L24" s="24">
        <f t="shared" si="7"/>
        <v>3966612</v>
      </c>
    </row>
    <row r="25" spans="1:12" ht="12.75">
      <c r="A25" s="1" t="s">
        <v>8</v>
      </c>
      <c r="B25" s="51">
        <v>-1000000</v>
      </c>
      <c r="C25" s="24">
        <f>B25*(1+'Forecasting Variables'!C18)</f>
        <v>-1400000</v>
      </c>
      <c r="D25" s="24">
        <f>C25*(1+'Forecasting Variables'!D18)</f>
        <v>-1890000.0000000002</v>
      </c>
      <c r="E25" s="24">
        <f>D25*(1+'Forecasting Variables'!E18)</f>
        <v>-2457000.0000000005</v>
      </c>
      <c r="F25" s="24">
        <f>E25*(1+'Forecasting Variables'!F18)</f>
        <v>-3071250.0000000005</v>
      </c>
      <c r="G25" s="24">
        <f>F25*(1+'Forecasting Variables'!G18)</f>
        <v>-3685500.0000000005</v>
      </c>
      <c r="H25" s="24">
        <f>G25*(1+'Forecasting Variables'!H18)</f>
        <v>-3316950.0000000005</v>
      </c>
      <c r="I25" s="24">
        <f>H25*(1+'Forecasting Variables'!I18)</f>
        <v>-2819407.5000000005</v>
      </c>
      <c r="J25" s="24">
        <f>I25*(1+'Forecasting Variables'!J18)</f>
        <v>-2255526.0000000005</v>
      </c>
      <c r="K25" s="24">
        <f>J25*(1+'Forecasting Variables'!K18)</f>
        <v>-1691644.5000000005</v>
      </c>
      <c r="L25" s="24">
        <f>K25*(1+'Forecasting Variables'!L18)</f>
        <v>-1184151.1500000001</v>
      </c>
    </row>
    <row r="26" spans="1:12" ht="12.75">
      <c r="A26" s="1" t="s">
        <v>9</v>
      </c>
      <c r="B26" s="3"/>
      <c r="C26" s="24">
        <f>(C8-B8)*'Forecasting Variables'!C19</f>
        <v>79800</v>
      </c>
      <c r="D26" s="24">
        <f>(D8-C8)*'Forecasting Variables'!D19</f>
        <v>136080</v>
      </c>
      <c r="E26" s="24">
        <f>(E8-D8)*'Forecasting Variables'!E19</f>
        <v>222768.00000000003</v>
      </c>
      <c r="F26" s="24">
        <f>(F8-E8)*'Forecasting Variables'!F19</f>
        <v>366912</v>
      </c>
      <c r="G26" s="24">
        <f>(G8-F8)*'Forecasting Variables'!G19</f>
        <v>619164</v>
      </c>
      <c r="H26" s="24">
        <f>(H8-G8)*'Forecasting Variables'!H19</f>
        <v>770515.2000000001</v>
      </c>
      <c r="I26" s="24">
        <f>(I8-H8)*'Forecasting Variables'!I19</f>
        <v>858574.0800000001</v>
      </c>
      <c r="J26" s="24">
        <f>(J8-I8)*'Forecasting Variables'!J19</f>
        <v>832156.4160000001</v>
      </c>
      <c r="K26" s="24">
        <f>(K8-J8)*'Forecasting Variables'!K19</f>
        <v>661102.0415999999</v>
      </c>
      <c r="L26" s="24">
        <f>(L8-K8)*'Forecasting Variables'!L19</f>
        <v>360601.11360000004</v>
      </c>
    </row>
    <row r="27" spans="1:13" ht="12.75">
      <c r="A27" s="2" t="s">
        <v>6</v>
      </c>
      <c r="B27" s="7">
        <f aca="true" t="shared" si="8" ref="B27:K27">SUM(B22:B26)</f>
        <v>-1250000</v>
      </c>
      <c r="C27" s="23">
        <f t="shared" si="8"/>
        <v>-1320200</v>
      </c>
      <c r="D27" s="23">
        <f t="shared" si="8"/>
        <v>-1393560.0000000002</v>
      </c>
      <c r="E27" s="23">
        <f t="shared" si="8"/>
        <v>-1225224.0000000005</v>
      </c>
      <c r="F27" s="23">
        <f t="shared" si="8"/>
        <v>-1390942.8000000005</v>
      </c>
      <c r="G27" s="23">
        <f t="shared" si="8"/>
        <v>-908893.8000000003</v>
      </c>
      <c r="H27" s="23">
        <f t="shared" si="8"/>
        <v>887861.3999999998</v>
      </c>
      <c r="I27" s="23">
        <f t="shared" si="8"/>
        <v>3124566.5799999996</v>
      </c>
      <c r="J27" s="23">
        <f t="shared" si="8"/>
        <v>5548251.896000001</v>
      </c>
      <c r="K27" s="23">
        <f t="shared" si="8"/>
        <v>7768124.3576</v>
      </c>
      <c r="L27" s="23">
        <f>ROUND((SUM(L22:L26)),0)</f>
        <v>9330977</v>
      </c>
      <c r="M27" s="7"/>
    </row>
    <row r="28" spans="2:12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.75">
      <c r="A29" s="9" t="s">
        <v>43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23">
        <f>ROUND(((L27*(1+'Forecasting Variables'!B22))/('Forecasting Variables'!B23-'Forecasting Variables'!B22)),0)</f>
        <v>65316839</v>
      </c>
    </row>
    <row r="31" spans="1:12" ht="12.75">
      <c r="A31" s="1" t="s">
        <v>15</v>
      </c>
      <c r="C31" s="24">
        <f>ROUND((C27/((1+'Forecasting Variables'!$B$23)^(C6-2001))),0)</f>
        <v>-442132</v>
      </c>
      <c r="D31" s="24">
        <f>ROUND((D27/((1+'Forecasting Variables'!$B$23)^(D6-2001))),0)</f>
        <v>-388917</v>
      </c>
      <c r="E31" s="24">
        <f>ROUND((E27/((1+'Forecasting Variables'!$B$23)^(E6-2001))),0)</f>
        <v>-284948</v>
      </c>
      <c r="F31" s="24">
        <f>ROUND((F27/((1+'Forecasting Variables'!$B$23)^(F6-2001))),0)</f>
        <v>-269574</v>
      </c>
      <c r="G31" s="24">
        <f>ROUND((G27/((1+'Forecasting Variables'!$B$23)^(G6-2001))),0)</f>
        <v>-146791</v>
      </c>
      <c r="H31" s="24">
        <f>ROUND((H27/((1+'Forecasting Variables'!$B$23)^(H6-2001))),0)</f>
        <v>119495</v>
      </c>
      <c r="I31" s="24">
        <f>ROUND((I27/((1+'Forecasting Variables'!$B$23)^(I6-2001))),0)</f>
        <v>350441</v>
      </c>
      <c r="J31" s="24">
        <f>ROUND((J27/((1+'Forecasting Variables'!$B$23)^(J6-2001))),0)</f>
        <v>518561</v>
      </c>
      <c r="K31" s="24">
        <f>ROUND((K27/((1+'Forecasting Variables'!$B$23)^(K6-2001))),0)</f>
        <v>605033</v>
      </c>
      <c r="L31" s="24">
        <f>ROUND(((L27+L29)/((1+'Forecasting Variables'!$B$23)^(L6-2001))),0)</f>
        <v>4845052</v>
      </c>
    </row>
    <row r="32" ht="12.75">
      <c r="A32" s="16"/>
    </row>
    <row r="33" spans="1:2" ht="12.75">
      <c r="A33" s="9" t="s">
        <v>20</v>
      </c>
      <c r="B33" s="23">
        <f>SUM(C31:L31)</f>
        <v>4906220</v>
      </c>
    </row>
    <row r="34" spans="1:3" ht="12.75">
      <c r="A34" s="17" t="s">
        <v>23</v>
      </c>
      <c r="B34" s="52">
        <v>500000</v>
      </c>
      <c r="C34" s="22" t="s">
        <v>42</v>
      </c>
    </row>
    <row r="35" spans="1:3" ht="12.75">
      <c r="A35" s="18"/>
      <c r="C35" s="7"/>
    </row>
    <row r="36" spans="1:3" ht="12.75">
      <c r="A36" s="9" t="s">
        <v>39</v>
      </c>
      <c r="B36" s="23">
        <f>B33+SUM(B34:B34)</f>
        <v>5406220</v>
      </c>
      <c r="C36" s="7"/>
    </row>
    <row r="37" spans="2:3" ht="12.75">
      <c r="B37" s="12"/>
      <c r="C37" s="7"/>
    </row>
  </sheetData>
  <mergeCells count="4">
    <mergeCell ref="C5:L5"/>
    <mergeCell ref="A3:L3"/>
    <mergeCell ref="A1:L1"/>
    <mergeCell ref="B4:L4"/>
  </mergeCells>
  <printOptions/>
  <pageMargins left="0.37" right="0.35" top="1" bottom="1" header="0.5" footer="0.5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Andrew</dc:creator>
  <cp:keywords/>
  <dc:description/>
  <cp:lastModifiedBy>Ian Giddy</cp:lastModifiedBy>
  <cp:lastPrinted>2002-06-24T01:44:25Z</cp:lastPrinted>
  <dcterms:created xsi:type="dcterms:W3CDTF">2001-07-06T03:38:25Z</dcterms:created>
  <dcterms:modified xsi:type="dcterms:W3CDTF">2007-01-04T15:05:11Z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-2147302975</vt:i4>
  </property>
  <property fmtid="{D5CDD505-2E9C-101B-9397-08002B2CF9AE}" pid="3" name="_EmailSubject">
    <vt:lpwstr>G/A 3e CW</vt:lpwstr>
  </property>
  <property fmtid="{D5CDD505-2E9C-101B-9397-08002B2CF9AE}" pid="4" name="_AuthorEmail">
    <vt:lpwstr>Tim.Gallagher@business.colostate.edu</vt:lpwstr>
  </property>
  <property fmtid="{D5CDD505-2E9C-101B-9397-08002B2CF9AE}" pid="5" name="_AuthorEmailDisplayName">
    <vt:lpwstr>Gallagher,Tim</vt:lpwstr>
  </property>
  <property fmtid="{D5CDD505-2E9C-101B-9397-08002B2CF9AE}" pid="6" name="_ReviewingToolsShownOnce">
    <vt:lpwstr/>
  </property>
</Properties>
</file>